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J:\CKT\ID2\B9D30A31-7C69-4742-BABE-8A8A00782238\0\11000-11999\11949\L\L\"/>
    </mc:Choice>
  </mc:AlternateContent>
  <bookViews>
    <workbookView xWindow="-120" yWindow="-120" windowWidth="29040" windowHeight="15840" activeTab="2"/>
  </bookViews>
  <sheets>
    <sheet name="Pakistan 1" sheetId="1" r:id="rId1"/>
    <sheet name="Pakistan 1 benchmark" sheetId="4" r:id="rId2"/>
    <sheet name="Pakistan 2" sheetId="5" r:id="rId3"/>
    <sheet name="Pakistan 2 benchmark" sheetId="6" r:id="rId4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9" i="4" l="1"/>
  <c r="B11" i="6" l="1"/>
  <c r="B14" i="6" s="1"/>
  <c r="B16" i="6" s="1"/>
  <c r="B8" i="6"/>
  <c r="B9" i="6" s="1"/>
  <c r="B7" i="6"/>
  <c r="B4" i="6"/>
  <c r="B10" i="5"/>
  <c r="B12" i="6" l="1"/>
  <c r="D17" i="6"/>
  <c r="D16" i="6"/>
  <c r="B4" i="5" l="1"/>
  <c r="B7" i="5"/>
  <c r="B10" i="4"/>
  <c r="B10" i="1"/>
  <c r="O15" i="4"/>
  <c r="N14" i="4"/>
  <c r="O14" i="4" s="1"/>
  <c r="B15" i="4"/>
  <c r="B11" i="4"/>
  <c r="B5" i="4"/>
  <c r="B16" i="4" l="1"/>
  <c r="B8" i="5"/>
  <c r="B11" i="5"/>
  <c r="B13" i="5"/>
  <c r="B15" i="5" s="1"/>
  <c r="B6" i="4"/>
  <c r="B7" i="4" s="1"/>
  <c r="B12" i="4" s="1"/>
  <c r="C5" i="4"/>
  <c r="B15" i="1"/>
  <c r="B11" i="1"/>
  <c r="O17" i="1"/>
  <c r="N16" i="1"/>
  <c r="O16" i="1" s="1"/>
  <c r="D15" i="5" l="1"/>
  <c r="B18" i="5"/>
  <c r="D16" i="5"/>
  <c r="B18" i="4"/>
  <c r="O8" i="4" s="1"/>
  <c r="O10" i="4" s="1"/>
  <c r="O16" i="4" s="1"/>
  <c r="N8" i="4"/>
  <c r="N10" i="4" s="1"/>
  <c r="N16" i="4" s="1"/>
  <c r="N17" i="4" l="1"/>
  <c r="O17" i="4" s="1"/>
  <c r="O18" i="4" s="1"/>
  <c r="N18" i="4" l="1"/>
  <c r="N19" i="4"/>
  <c r="O19" i="4" s="1"/>
  <c r="O20" i="4" s="1"/>
  <c r="N20" i="4" l="1"/>
  <c r="O22" i="4" s="1"/>
  <c r="B5" i="1" l="1"/>
  <c r="B6" i="1" l="1"/>
  <c r="B7" i="1" s="1"/>
  <c r="B12" i="1" l="1"/>
  <c r="N8" i="1" s="1"/>
  <c r="N10" i="1" s="1"/>
  <c r="N18" i="1" s="1"/>
  <c r="N19" i="1" s="1"/>
  <c r="O19" i="1" s="1"/>
  <c r="N20" i="1" l="1"/>
  <c r="N21" i="1" l="1"/>
  <c r="O21" i="1" s="1"/>
  <c r="N22" i="1" l="1"/>
  <c r="B16" i="1" l="1"/>
  <c r="C5" i="1"/>
  <c r="B18" i="1" l="1"/>
  <c r="O8" i="1" s="1"/>
  <c r="O10" i="1" l="1"/>
  <c r="O18" i="1" s="1"/>
  <c r="O20" i="1" s="1"/>
  <c r="O22" i="1" l="1"/>
  <c r="O24" i="1" s="1"/>
</calcChain>
</file>

<file path=xl/sharedStrings.xml><?xml version="1.0" encoding="utf-8"?>
<sst xmlns="http://schemas.openxmlformats.org/spreadsheetml/2006/main" count="146" uniqueCount="60">
  <si>
    <t>Factory</t>
  </si>
  <si>
    <t>Pakistan</t>
  </si>
  <si>
    <t>current</t>
  </si>
  <si>
    <t>eur</t>
  </si>
  <si>
    <t>Total wagecosts current direct</t>
  </si>
  <si>
    <t>(incl werkgeverslasten)</t>
  </si>
  <si>
    <t>Total wagecosts current indirect</t>
  </si>
  <si>
    <t>Total overhead</t>
  </si>
  <si>
    <t>TSHIRT SHORT SLEEVES</t>
  </si>
  <si>
    <t>minimum wage</t>
  </si>
  <si>
    <t>living wage</t>
  </si>
  <si>
    <t>profit</t>
  </si>
  <si>
    <t>total costs</t>
  </si>
  <si>
    <t>price</t>
  </si>
  <si>
    <t>quantity</t>
  </si>
  <si>
    <t>tot price</t>
  </si>
  <si>
    <t>cm</t>
  </si>
  <si>
    <t>Total direct workers</t>
  </si>
  <si>
    <t>trimmings</t>
  </si>
  <si>
    <t>Total direct minutes</t>
  </si>
  <si>
    <t>minutes per year</t>
  </si>
  <si>
    <t>total CMT</t>
  </si>
  <si>
    <t>Lowest wage</t>
  </si>
  <si>
    <t>pkr</t>
  </si>
  <si>
    <t>Costprice per minute</t>
  </si>
  <si>
    <t>SAM</t>
  </si>
  <si>
    <t>minutes</t>
  </si>
  <si>
    <t>meters</t>
  </si>
  <si>
    <t>consumption</t>
  </si>
  <si>
    <t>KGS</t>
  </si>
  <si>
    <t>WEIGHT</t>
  </si>
  <si>
    <t>upcharge direct workers</t>
  </si>
  <si>
    <t>fabric</t>
  </si>
  <si>
    <t>export formalities</t>
  </si>
  <si>
    <t>garment price</t>
  </si>
  <si>
    <t>margin qc agent</t>
  </si>
  <si>
    <t>geen stapeling</t>
  </si>
  <si>
    <t>total garment price</t>
  </si>
  <si>
    <t>import -freight</t>
  </si>
  <si>
    <t xml:space="preserve"> price in house</t>
  </si>
  <si>
    <t>dus kostprijs verschil</t>
  </si>
  <si>
    <t>marge merk</t>
  </si>
  <si>
    <t>aantal stuks per jaar die fabriek maakt</t>
  </si>
  <si>
    <t>stuks</t>
  </si>
  <si>
    <t>wat doe jij als merk in die fabriek</t>
  </si>
  <si>
    <t>leverage</t>
  </si>
  <si>
    <t>totaal lowest wage fabriek</t>
  </si>
  <si>
    <t>per jaar</t>
  </si>
  <si>
    <t>gap</t>
  </si>
  <si>
    <t>per persoon</t>
  </si>
  <si>
    <t>aantal personen</t>
  </si>
  <si>
    <t>totaal gap</t>
  </si>
  <si>
    <t>absolute stijging loonkosten per medewerker</t>
  </si>
  <si>
    <t>per persoon per maand</t>
  </si>
  <si>
    <t>extra gemiddeld als alleen jij de totale gap wilt betalen</t>
  </si>
  <si>
    <t>extra gemiddeld als andere merken ook meedoen*</t>
  </si>
  <si>
    <t>* Geen extra marge over deze 0,12 nemen</t>
  </si>
  <si>
    <t>Eur</t>
  </si>
  <si>
    <t>alleen over dit bedrag nemen</t>
  </si>
  <si>
    <t>Alleen over dit bedrag nemen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</si>
</sst>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4" formatCode="_ &quot;€&quot;\ * #,##0.00_ ;_ &quot;€&quot;\ * \-#,##0.00_ ;_ &quot;€&quot;\ * &quot;-&quot;??_ ;_ @_ "/>
    <numFmt numFmtId="164" formatCode="&quot;€&quot;\ #,##0.00"/>
    <numFmt numFmtId="165" formatCode="[$$-409]#,##0.00"/>
    <numFmt numFmtId="166" formatCode="_ &quot;€&quot;\ * #,##0.000_ ;_ &quot;€&quot;\ * \-#,##0.000_ ;_ &quot;€&quot;\ * &quot;-&quot;??_ ;_ @_ "/>
    <numFmt numFmtId="167" formatCode="#,##0_ ;\-#,##0\ "/>
    <numFmt numFmtId="168" formatCode="_ &quot;€&quot;\ * #,##0_ ;_ &quot;€&quot;\ * \-#,##0_ ;_ &quot;€&quot;\ * &quot;-&quot;??_ ;_ @_ "/>
    <numFmt numFmtId="169" formatCode="_ &quot;€&quot;\ * #,##0.0000_ ;_ &quot;€&quot;\ * \-#,##0.0000_ ;_ &quot;€&quot;\ * &quot;-&quot;????_ ;_ @_ 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99">
    <xf numFmtId="0" fontId="0" fillId="0" borderId="0" xfId="0"/>
    <xf numFmtId="164" fontId="1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0" fontId="1" fillId="0" borderId="3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4" xfId="0" applyBorder="1"/>
    <xf numFmtId="0" fontId="0" fillId="0" borderId="6" xfId="0" applyBorder="1" applyAlignment="1">
      <alignment horizontal="center"/>
    </xf>
    <xf numFmtId="0" fontId="0" fillId="0" borderId="6" xfId="0" applyBorder="1"/>
    <xf numFmtId="0" fontId="0" fillId="0" borderId="4" xfId="0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4" xfId="0" applyNumberFormat="1" applyBorder="1" applyAlignment="1">
      <alignment horizontal="center"/>
    </xf>
    <xf numFmtId="0" fontId="1" fillId="0" borderId="1" xfId="0" applyFont="1" applyBorder="1"/>
    <xf numFmtId="0" fontId="0" fillId="0" borderId="5" xfId="0" applyBorder="1"/>
    <xf numFmtId="0" fontId="0" fillId="0" borderId="7" xfId="0" applyBorder="1"/>
    <xf numFmtId="0" fontId="1" fillId="0" borderId="5" xfId="0" applyFont="1" applyBorder="1"/>
    <xf numFmtId="0" fontId="1" fillId="0" borderId="7" xfId="0" applyFont="1" applyBorder="1"/>
    <xf numFmtId="0" fontId="0" fillId="0" borderId="0" xfId="0" applyAlignment="1">
      <alignment horizontal="right"/>
    </xf>
    <xf numFmtId="0" fontId="1" fillId="0" borderId="0" xfId="0" applyFont="1"/>
    <xf numFmtId="0" fontId="1" fillId="0" borderId="4" xfId="0" applyFont="1" applyBorder="1"/>
    <xf numFmtId="9" fontId="0" fillId="0" borderId="4" xfId="0" applyNumberFormat="1" applyBorder="1"/>
    <xf numFmtId="9" fontId="0" fillId="0" borderId="4" xfId="0" applyNumberFormat="1" applyBorder="1" applyAlignment="1">
      <alignment horizontal="center"/>
    </xf>
    <xf numFmtId="0" fontId="1" fillId="0" borderId="3" xfId="0" applyFont="1" applyBorder="1" applyAlignment="1">
      <alignment horizontal="left"/>
    </xf>
    <xf numFmtId="0" fontId="1" fillId="0" borderId="10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1" fillId="0" borderId="0" xfId="0" applyFont="1" applyAlignment="1">
      <alignment horizontal="center"/>
    </xf>
    <xf numFmtId="9" fontId="0" fillId="0" borderId="0" xfId="2" applyFont="1"/>
    <xf numFmtId="0" fontId="3" fillId="0" borderId="0" xfId="0" applyFont="1"/>
    <xf numFmtId="44" fontId="0" fillId="0" borderId="0" xfId="1" applyFont="1"/>
    <xf numFmtId="44" fontId="0" fillId="0" borderId="0" xfId="0" applyNumberFormat="1"/>
    <xf numFmtId="44" fontId="3" fillId="0" borderId="0" xfId="1" applyFont="1"/>
    <xf numFmtId="44" fontId="0" fillId="0" borderId="2" xfId="1" applyFont="1" applyBorder="1" applyAlignment="1">
      <alignment horizontal="center"/>
    </xf>
    <xf numFmtId="44" fontId="0" fillId="0" borderId="0" xfId="1" applyFont="1" applyAlignment="1">
      <alignment horizontal="center"/>
    </xf>
    <xf numFmtId="44" fontId="0" fillId="3" borderId="4" xfId="1" applyFont="1" applyFill="1" applyBorder="1" applyAlignment="1">
      <alignment horizontal="center"/>
    </xf>
    <xf numFmtId="44" fontId="0" fillId="0" borderId="4" xfId="1" applyFont="1" applyBorder="1" applyAlignment="1">
      <alignment horizontal="center"/>
    </xf>
    <xf numFmtId="44" fontId="1" fillId="0" borderId="8" xfId="1" applyFont="1" applyBorder="1" applyAlignment="1">
      <alignment horizontal="center"/>
    </xf>
    <xf numFmtId="44" fontId="0" fillId="0" borderId="9" xfId="1" applyFont="1" applyBorder="1" applyAlignment="1">
      <alignment horizontal="center"/>
    </xf>
    <xf numFmtId="44" fontId="1" fillId="0" borderId="3" xfId="1" applyFont="1" applyBorder="1" applyAlignment="1">
      <alignment horizontal="center"/>
    </xf>
    <xf numFmtId="44" fontId="1" fillId="0" borderId="7" xfId="1" applyFont="1" applyBorder="1" applyAlignment="1">
      <alignment horizontal="center"/>
    </xf>
    <xf numFmtId="44" fontId="0" fillId="0" borderId="8" xfId="1" applyFont="1" applyBorder="1" applyAlignment="1">
      <alignment horizontal="center"/>
    </xf>
    <xf numFmtId="0" fontId="1" fillId="0" borderId="0" xfId="0" applyFont="1" applyAlignment="1">
      <alignment horizontal="center" vertical="justify"/>
    </xf>
    <xf numFmtId="0" fontId="1" fillId="3" borderId="8" xfId="0" applyFont="1" applyFill="1" applyBorder="1" applyAlignment="1">
      <alignment horizontal="center" vertical="justify"/>
    </xf>
    <xf numFmtId="44" fontId="0" fillId="0" borderId="0" xfId="1" applyFont="1" applyFill="1" applyBorder="1" applyAlignment="1">
      <alignment horizontal="center"/>
    </xf>
    <xf numFmtId="0" fontId="0" fillId="2" borderId="0" xfId="0" applyFill="1"/>
    <xf numFmtId="0" fontId="0" fillId="3" borderId="0" xfId="0" applyFill="1"/>
    <xf numFmtId="44" fontId="0" fillId="2" borderId="6" xfId="1" applyFont="1" applyFill="1" applyBorder="1" applyAlignment="1">
      <alignment horizontal="center"/>
    </xf>
    <xf numFmtId="166" fontId="0" fillId="3" borderId="0" xfId="1" applyNumberFormat="1" applyFont="1" applyFill="1"/>
    <xf numFmtId="166" fontId="0" fillId="2" borderId="0" xfId="1" applyNumberFormat="1" applyFont="1" applyFill="1"/>
    <xf numFmtId="44" fontId="0" fillId="4" borderId="0" xfId="0" applyNumberFormat="1" applyFill="1" applyAlignment="1">
      <alignment horizontal="center"/>
    </xf>
    <xf numFmtId="0" fontId="4" fillId="0" borderId="0" xfId="0" applyFont="1"/>
    <xf numFmtId="167" fontId="0" fillId="0" borderId="0" xfId="1" applyNumberFormat="1" applyFont="1"/>
    <xf numFmtId="168" fontId="0" fillId="0" borderId="0" xfId="1" applyNumberFormat="1" applyFont="1"/>
    <xf numFmtId="44" fontId="0" fillId="4" borderId="0" xfId="1" applyFont="1" applyFill="1"/>
    <xf numFmtId="44" fontId="0" fillId="4" borderId="0" xfId="0" applyNumberFormat="1" applyFill="1"/>
    <xf numFmtId="0" fontId="5" fillId="0" borderId="0" xfId="0" applyFont="1" applyAlignment="1">
      <alignment horizontal="center"/>
    </xf>
    <xf numFmtId="0" fontId="0" fillId="0" borderId="0" xfId="0" applyBorder="1"/>
    <xf numFmtId="0" fontId="1" fillId="0" borderId="0" xfId="0" applyFont="1" applyBorder="1"/>
    <xf numFmtId="0" fontId="0" fillId="0" borderId="0" xfId="0" applyBorder="1" applyAlignment="1">
      <alignment horizontal="center"/>
    </xf>
    <xf numFmtId="164" fontId="0" fillId="0" borderId="0" xfId="0" applyNumberFormat="1" applyBorder="1" applyAlignment="1">
      <alignment horizontal="center"/>
    </xf>
    <xf numFmtId="44" fontId="0" fillId="0" borderId="0" xfId="1" applyFont="1" applyBorder="1"/>
    <xf numFmtId="0" fontId="1" fillId="0" borderId="0" xfId="0" applyFont="1" applyBorder="1" applyAlignment="1">
      <alignment horizontal="center" vertical="justify"/>
    </xf>
    <xf numFmtId="9" fontId="0" fillId="0" borderId="0" xfId="2" applyFont="1" applyBorder="1"/>
    <xf numFmtId="164" fontId="1" fillId="0" borderId="0" xfId="0" applyNumberFormat="1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3" borderId="0" xfId="0" applyFont="1" applyFill="1" applyBorder="1" applyAlignment="1">
      <alignment horizontal="center" vertical="justify"/>
    </xf>
    <xf numFmtId="0" fontId="3" fillId="0" borderId="0" xfId="0" applyFont="1" applyBorder="1"/>
    <xf numFmtId="44" fontId="3" fillId="0" borderId="0" xfId="1" applyFont="1" applyBorder="1"/>
    <xf numFmtId="44" fontId="0" fillId="0" borderId="0" xfId="1" applyFont="1" applyBorder="1" applyAlignment="1">
      <alignment horizontal="center"/>
    </xf>
    <xf numFmtId="44" fontId="0" fillId="2" borderId="0" xfId="1" applyFont="1" applyFill="1" applyBorder="1" applyAlignment="1">
      <alignment horizontal="center"/>
    </xf>
    <xf numFmtId="44" fontId="0" fillId="3" borderId="0" xfId="1" applyFont="1" applyFill="1" applyBorder="1" applyAlignment="1">
      <alignment horizontal="center"/>
    </xf>
    <xf numFmtId="44" fontId="0" fillId="0" borderId="0" xfId="0" applyNumberFormat="1" applyBorder="1"/>
    <xf numFmtId="44" fontId="1" fillId="0" borderId="0" xfId="1" applyFont="1" applyBorder="1" applyAlignment="1">
      <alignment horizontal="center"/>
    </xf>
    <xf numFmtId="166" fontId="0" fillId="2" borderId="0" xfId="1" applyNumberFormat="1" applyFont="1" applyFill="1" applyBorder="1"/>
    <xf numFmtId="0" fontId="0" fillId="2" borderId="0" xfId="0" applyFill="1" applyBorder="1"/>
    <xf numFmtId="165" fontId="0" fillId="0" borderId="0" xfId="0" applyNumberFormat="1" applyBorder="1" applyAlignment="1">
      <alignment horizontal="center"/>
    </xf>
    <xf numFmtId="166" fontId="0" fillId="3" borderId="0" xfId="1" applyNumberFormat="1" applyFont="1" applyFill="1" applyBorder="1"/>
    <xf numFmtId="0" fontId="0" fillId="3" borderId="0" xfId="0" applyFill="1" applyBorder="1"/>
    <xf numFmtId="9" fontId="0" fillId="0" borderId="0" xfId="0" applyNumberFormat="1" applyBorder="1"/>
    <xf numFmtId="9" fontId="0" fillId="0" borderId="0" xfId="0" applyNumberFormat="1" applyBorder="1" applyAlignment="1">
      <alignment horizontal="center"/>
    </xf>
    <xf numFmtId="0" fontId="1" fillId="0" borderId="0" xfId="0" applyFont="1" applyBorder="1" applyAlignment="1">
      <alignment horizontal="left"/>
    </xf>
    <xf numFmtId="44" fontId="0" fillId="4" borderId="0" xfId="0" applyNumberFormat="1" applyFill="1" applyBorder="1" applyAlignment="1">
      <alignment horizontal="center"/>
    </xf>
    <xf numFmtId="0" fontId="1" fillId="0" borderId="0" xfId="0" applyFont="1" applyAlignment="1">
      <alignment wrapText="1"/>
    </xf>
    <xf numFmtId="0" fontId="0" fillId="0" borderId="0" xfId="0" applyAlignment="1">
      <alignment wrapText="1"/>
    </xf>
    <xf numFmtId="0" fontId="0" fillId="0" borderId="0" xfId="0" applyAlignment="1">
      <alignment horizontal="left" wrapText="1"/>
    </xf>
    <xf numFmtId="0" fontId="0" fillId="0" borderId="0" xfId="0" applyAlignment="1">
      <alignment horizontal="center" wrapText="1"/>
    </xf>
    <xf numFmtId="9" fontId="0" fillId="0" borderId="0" xfId="2" applyFont="1" applyAlignment="1">
      <alignment horizontal="center"/>
    </xf>
    <xf numFmtId="0" fontId="1" fillId="0" borderId="0" xfId="0" applyFont="1" applyAlignment="1"/>
    <xf numFmtId="167" fontId="0" fillId="0" borderId="0" xfId="1" applyNumberFormat="1" applyFont="1" applyAlignment="1"/>
    <xf numFmtId="9" fontId="0" fillId="0" borderId="0" xfId="2" applyFont="1" applyAlignment="1"/>
    <xf numFmtId="44" fontId="0" fillId="0" borderId="0" xfId="1" applyFont="1" applyAlignment="1"/>
    <xf numFmtId="0" fontId="0" fillId="0" borderId="0" xfId="0" applyAlignment="1"/>
    <xf numFmtId="168" fontId="0" fillId="0" borderId="0" xfId="1" applyNumberFormat="1" applyFont="1" applyAlignment="1"/>
    <xf numFmtId="169" fontId="0" fillId="0" borderId="0" xfId="0" applyNumberFormat="1" applyAlignment="1"/>
    <xf numFmtId="0" fontId="4" fillId="0" borderId="0" xfId="0" applyFont="1" applyAlignment="1">
      <alignment horizontal="center"/>
    </xf>
    <xf numFmtId="9" fontId="0" fillId="0" borderId="0" xfId="2" applyFont="1" applyBorder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horizontal="left"/>
    </xf>
    <xf numFmtId="0" fontId="0" fillId="0" borderId="0" xfId="0" applyNumberFormat="1"/>
  </cellXfs>
  <cellStyles count="3">
    <cellStyle name="Procent" xfId="2" builtinId="5"/>
    <cellStyle name="Standaard" xfId="0" builtinId="0"/>
    <cellStyle name="Valuta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164123</xdr:colOff>
      <xdr:row>21</xdr:row>
      <xdr:rowOff>68872</xdr:rowOff>
    </xdr:from>
    <xdr:to>
      <xdr:col>6</xdr:col>
      <xdr:colOff>987625</xdr:colOff>
      <xdr:row>40</xdr:row>
      <xdr:rowOff>55592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2A6C07F2-9C91-4F22-9B76-BC7FCE6B3F2E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4123" y="4113334"/>
          <a:ext cx="6779602" cy="3821478"/>
        </a:xfrm>
        <a:prstGeom prst="rect">
          <a:avLst/>
        </a:prstGeom>
      </xdr:spPr>
    </xdr:pic>
    <xdr:clientData/>
  </xdr:twoCellAnchor>
  <xdr:twoCellAnchor>
    <xdr:from>
      <xdr:col>13</xdr:col>
      <xdr:colOff>1104900</xdr:colOff>
      <xdr:row>22</xdr:row>
      <xdr:rowOff>38100</xdr:rowOff>
    </xdr:from>
    <xdr:to>
      <xdr:col>13</xdr:col>
      <xdr:colOff>1104900</xdr:colOff>
      <xdr:row>24</xdr:row>
      <xdr:rowOff>171450</xdr:rowOff>
    </xdr:to>
    <xdr:cxnSp macro="">
      <xdr:nvCxnSpPr>
        <xdr:cNvPr id="4" name="Rechte verbindingslijn met pijl 3">
          <a:extLst>
            <a:ext uri="{FF2B5EF4-FFF2-40B4-BE49-F238E27FC236}">
              <a16:creationId xmlns:a16="http://schemas.microsoft.com/office/drawing/2014/main" id="{0A18D391-4E7B-4687-B760-D2F33A4F46A2}"/>
            </a:ext>
          </a:extLst>
        </xdr:cNvPr>
        <xdr:cNvCxnSpPr/>
      </xdr:nvCxnSpPr>
      <xdr:spPr>
        <a:xfrm>
          <a:off x="12934950" y="5676900"/>
          <a:ext cx="0" cy="5143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164123</xdr:colOff>
      <xdr:row>21</xdr:row>
      <xdr:rowOff>68872</xdr:rowOff>
    </xdr:from>
    <xdr:to>
      <xdr:col>7</xdr:col>
      <xdr:colOff>191528</xdr:colOff>
      <xdr:row>41</xdr:row>
      <xdr:rowOff>79635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284F7FFF-C7DA-4401-A914-598B761599B2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4123" y="4336072"/>
          <a:ext cx="6786196" cy="3825875"/>
        </a:xfrm>
        <a:prstGeom prst="rect">
          <a:avLst/>
        </a:prstGeom>
      </xdr:spPr>
    </xdr:pic>
    <xdr:clientData/>
  </xdr:twoCellAnchor>
  <xdr:twoCellAnchor>
    <xdr:from>
      <xdr:col>13</xdr:col>
      <xdr:colOff>1190625</xdr:colOff>
      <xdr:row>20</xdr:row>
      <xdr:rowOff>66675</xdr:rowOff>
    </xdr:from>
    <xdr:to>
      <xdr:col>13</xdr:col>
      <xdr:colOff>1190625</xdr:colOff>
      <xdr:row>23</xdr:row>
      <xdr:rowOff>9525</xdr:rowOff>
    </xdr:to>
    <xdr:cxnSp macro="">
      <xdr:nvCxnSpPr>
        <xdr:cNvPr id="3" name="Rechte verbindingslijn met pijl 2">
          <a:extLst>
            <a:ext uri="{FF2B5EF4-FFF2-40B4-BE49-F238E27FC236}">
              <a16:creationId xmlns:a16="http://schemas.microsoft.com/office/drawing/2014/main" id="{4E5B7469-99C3-4C73-AB8D-6F960913A611}"/>
            </a:ext>
          </a:extLst>
        </xdr:cNvPr>
        <xdr:cNvCxnSpPr/>
      </xdr:nvCxnSpPr>
      <xdr:spPr>
        <a:xfrm>
          <a:off x="12934950" y="5705475"/>
          <a:ext cx="0" cy="5143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3"/>
  <sheetViews>
    <sheetView zoomScale="71" zoomScaleNormal="71" workbookViewId="0">
      <selection activeCell="I19" sqref="I19"/>
    </sheetView>
  </sheetViews>
  <sheetFormatPr defaultRowHeight="14.5" x14ac:dyDescent="0.35"/>
  <cols>
    <col min="1" max="1" width="30.1796875" customWidth="1"/>
    <col min="2" max="2" width="15.7265625" customWidth="1"/>
    <col min="3" max="3" width="15" style="2" bestFit="1" customWidth="1"/>
    <col min="6" max="6" width="10.453125" bestFit="1" customWidth="1"/>
    <col min="7" max="7" width="16.7265625" bestFit="1" customWidth="1"/>
    <col min="11" max="11" width="22.26953125" customWidth="1"/>
    <col min="13" max="13" width="18.1796875" customWidth="1"/>
    <col min="14" max="14" width="21.1796875" style="2" bestFit="1" customWidth="1"/>
    <col min="15" max="15" width="11" style="2" customWidth="1"/>
  </cols>
  <sheetData>
    <row r="1" spans="1:15" x14ac:dyDescent="0.35">
      <c r="A1" s="57" t="s">
        <v>0</v>
      </c>
      <c r="B1" s="57" t="s">
        <v>1</v>
      </c>
      <c r="C1" s="58"/>
      <c r="D1" s="56"/>
      <c r="E1" s="56"/>
      <c r="F1" s="56"/>
      <c r="G1" s="56"/>
      <c r="H1" s="56"/>
      <c r="I1" s="56"/>
      <c r="J1" s="56"/>
      <c r="K1" s="56"/>
      <c r="L1" s="56"/>
      <c r="M1" s="56"/>
      <c r="N1" s="58"/>
      <c r="O1" s="58"/>
    </row>
    <row r="2" spans="1:15" x14ac:dyDescent="0.35">
      <c r="A2" s="57" t="s">
        <v>2</v>
      </c>
      <c r="B2" s="58" t="s">
        <v>57</v>
      </c>
      <c r="C2" s="58"/>
      <c r="D2" s="56"/>
      <c r="E2" s="56"/>
      <c r="F2" s="56"/>
      <c r="G2" s="56"/>
      <c r="H2" s="56"/>
      <c r="I2" s="56"/>
      <c r="J2" s="56"/>
      <c r="K2" s="56"/>
      <c r="L2" s="56"/>
      <c r="M2" s="56"/>
      <c r="N2" s="59"/>
      <c r="O2" s="58"/>
    </row>
    <row r="3" spans="1:15" x14ac:dyDescent="0.35">
      <c r="A3" s="56" t="s">
        <v>4</v>
      </c>
      <c r="B3" s="60">
        <v>600000</v>
      </c>
      <c r="C3" s="58"/>
      <c r="D3" s="56" t="s">
        <v>5</v>
      </c>
      <c r="E3" s="56"/>
      <c r="F3" s="56"/>
      <c r="G3" s="56"/>
      <c r="H3" s="56"/>
      <c r="I3" s="56"/>
      <c r="J3" s="56"/>
      <c r="K3" s="56"/>
      <c r="L3" s="56"/>
      <c r="M3" s="56"/>
      <c r="N3" s="58"/>
      <c r="O3" s="58"/>
    </row>
    <row r="4" spans="1:15" ht="15.75" customHeight="1" x14ac:dyDescent="0.35">
      <c r="A4" s="56" t="s">
        <v>6</v>
      </c>
      <c r="B4" s="60">
        <v>350000</v>
      </c>
      <c r="C4" s="58"/>
      <c r="D4" s="56"/>
      <c r="E4" s="56"/>
      <c r="F4" s="56"/>
      <c r="G4" s="56"/>
      <c r="H4" s="56"/>
      <c r="I4" s="56"/>
      <c r="J4" s="56"/>
      <c r="K4" s="56"/>
      <c r="L4" s="56"/>
      <c r="M4" s="56"/>
      <c r="N4" s="59"/>
      <c r="O4" s="61"/>
    </row>
    <row r="5" spans="1:15" x14ac:dyDescent="0.35">
      <c r="A5" s="56" t="s">
        <v>7</v>
      </c>
      <c r="B5" s="60">
        <f>(B3+B4)*0.7</f>
        <v>665000</v>
      </c>
      <c r="C5" s="95">
        <f>B5/(B3+B4)</f>
        <v>0.7</v>
      </c>
      <c r="D5" s="56"/>
      <c r="E5" s="56"/>
      <c r="F5" s="56"/>
      <c r="G5" s="56"/>
      <c r="H5" s="56"/>
      <c r="I5" s="56"/>
      <c r="J5" s="56"/>
      <c r="K5" s="63" t="s">
        <v>8</v>
      </c>
      <c r="L5" s="56"/>
      <c r="M5" s="56"/>
      <c r="N5" s="64" t="s">
        <v>9</v>
      </c>
      <c r="O5" s="65" t="s">
        <v>10</v>
      </c>
    </row>
    <row r="6" spans="1:15" x14ac:dyDescent="0.35">
      <c r="A6" s="56" t="s">
        <v>11</v>
      </c>
      <c r="B6" s="60">
        <f>(B3+B4+B5)*0.1</f>
        <v>161500</v>
      </c>
      <c r="C6" s="95"/>
      <c r="D6" s="56"/>
      <c r="E6" s="56"/>
      <c r="F6" s="56"/>
      <c r="G6" s="56"/>
      <c r="H6" s="56"/>
      <c r="I6" s="56"/>
      <c r="J6" s="56"/>
      <c r="K6" s="56"/>
      <c r="L6" s="56"/>
      <c r="M6" s="56"/>
      <c r="N6" s="64"/>
      <c r="O6" s="61"/>
    </row>
    <row r="7" spans="1:15" x14ac:dyDescent="0.35">
      <c r="A7" s="66" t="s">
        <v>12</v>
      </c>
      <c r="B7" s="67">
        <f>SUM(B3:B6)</f>
        <v>1776500</v>
      </c>
      <c r="C7" s="58"/>
      <c r="D7" s="56"/>
      <c r="E7" s="56"/>
      <c r="F7" s="56"/>
      <c r="G7" s="56"/>
      <c r="H7" s="56"/>
      <c r="I7" s="56"/>
      <c r="J7" s="56"/>
      <c r="K7" s="56"/>
      <c r="L7" s="58" t="s">
        <v>13</v>
      </c>
      <c r="M7" s="58" t="s">
        <v>14</v>
      </c>
      <c r="N7" s="68" t="s">
        <v>15</v>
      </c>
      <c r="O7" s="68"/>
    </row>
    <row r="8" spans="1:15" x14ac:dyDescent="0.35">
      <c r="A8" s="56"/>
      <c r="B8" s="56"/>
      <c r="C8" s="58"/>
      <c r="D8" s="56"/>
      <c r="E8" s="56"/>
      <c r="F8" s="56"/>
      <c r="G8" s="56"/>
      <c r="H8" s="56"/>
      <c r="I8" s="56"/>
      <c r="J8" s="56"/>
      <c r="K8" s="97" t="s">
        <v>16</v>
      </c>
      <c r="L8" s="58"/>
      <c r="M8" s="56"/>
      <c r="N8" s="69">
        <f>B19*B12</f>
        <v>0.42836130401234568</v>
      </c>
      <c r="O8" s="70">
        <f>B19*B18</f>
        <v>0.55075024801587302</v>
      </c>
    </row>
    <row r="9" spans="1:15" x14ac:dyDescent="0.35">
      <c r="A9" s="56" t="s">
        <v>17</v>
      </c>
      <c r="B9" s="56">
        <v>200</v>
      </c>
      <c r="C9" s="58"/>
      <c r="D9" s="56"/>
      <c r="E9" s="56"/>
      <c r="F9" s="71"/>
      <c r="G9" s="56"/>
      <c r="H9" s="56"/>
      <c r="I9" s="56"/>
      <c r="J9" s="56"/>
      <c r="K9" s="97" t="s">
        <v>18</v>
      </c>
      <c r="L9" s="58"/>
      <c r="M9" s="58"/>
      <c r="N9" s="68">
        <v>0.2</v>
      </c>
      <c r="O9" s="68">
        <v>0.2</v>
      </c>
    </row>
    <row r="10" spans="1:15" x14ac:dyDescent="0.35">
      <c r="A10" s="56" t="s">
        <v>19</v>
      </c>
      <c r="B10" s="56">
        <f>B9*45*60*0.8*48</f>
        <v>20736000</v>
      </c>
      <c r="C10" s="58" t="s">
        <v>20</v>
      </c>
      <c r="D10" s="56"/>
      <c r="E10" s="56"/>
      <c r="F10" s="56"/>
      <c r="G10" s="56"/>
      <c r="H10" s="56"/>
      <c r="I10" s="56"/>
      <c r="J10" s="56"/>
      <c r="K10" s="80" t="s">
        <v>21</v>
      </c>
      <c r="L10" s="56"/>
      <c r="M10" s="56"/>
      <c r="N10" s="72">
        <f>SUM(N8:N9)</f>
        <v>0.62836130401234569</v>
      </c>
      <c r="O10" s="72">
        <f>SUM(O8:O9)</f>
        <v>0.75075024801587298</v>
      </c>
    </row>
    <row r="11" spans="1:15" x14ac:dyDescent="0.35">
      <c r="A11" s="56" t="s">
        <v>22</v>
      </c>
      <c r="B11" s="60">
        <f>C11/191</f>
        <v>91.623036649214654</v>
      </c>
      <c r="C11" s="58">
        <v>17500</v>
      </c>
      <c r="D11" s="56" t="s">
        <v>23</v>
      </c>
      <c r="E11" s="56"/>
      <c r="F11" s="56"/>
      <c r="G11" s="56"/>
      <c r="H11" s="56"/>
      <c r="I11" s="56"/>
      <c r="J11" s="56"/>
      <c r="K11" s="97"/>
      <c r="L11" s="56"/>
      <c r="M11" s="56"/>
      <c r="N11" s="58"/>
      <c r="O11" s="58"/>
    </row>
    <row r="12" spans="1:15" x14ac:dyDescent="0.35">
      <c r="A12" s="56" t="s">
        <v>24</v>
      </c>
      <c r="B12" s="73">
        <f>B7/B10</f>
        <v>8.5672260802469133E-2</v>
      </c>
      <c r="C12" s="58"/>
      <c r="D12" s="56"/>
      <c r="E12" s="56"/>
      <c r="F12" s="56"/>
      <c r="G12" s="56"/>
      <c r="H12" s="56"/>
      <c r="I12" s="56"/>
      <c r="J12" s="56"/>
      <c r="K12" s="97"/>
      <c r="L12" s="58"/>
      <c r="M12" s="58"/>
      <c r="N12" s="43"/>
      <c r="O12" s="43"/>
    </row>
    <row r="13" spans="1:15" x14ac:dyDescent="0.35">
      <c r="A13" s="56" t="s">
        <v>25</v>
      </c>
      <c r="B13" s="74">
        <v>5</v>
      </c>
      <c r="C13" s="58" t="s">
        <v>26</v>
      </c>
      <c r="D13" s="56"/>
      <c r="E13" s="56"/>
      <c r="F13" s="56"/>
      <c r="G13" s="56"/>
      <c r="H13" s="56"/>
      <c r="I13" s="56"/>
      <c r="J13" s="56"/>
      <c r="K13" s="97"/>
      <c r="L13" s="58"/>
      <c r="M13" s="58"/>
      <c r="N13" s="43"/>
      <c r="O13" s="43"/>
    </row>
    <row r="14" spans="1:15" x14ac:dyDescent="0.35">
      <c r="A14" s="56"/>
      <c r="B14" s="56"/>
      <c r="C14" s="58"/>
      <c r="D14" s="56"/>
      <c r="E14" s="56"/>
      <c r="F14" s="56"/>
      <c r="G14" s="56"/>
      <c r="H14" s="56"/>
      <c r="I14" s="56"/>
      <c r="J14" s="56"/>
      <c r="K14" s="97"/>
      <c r="L14" s="56" t="s">
        <v>27</v>
      </c>
      <c r="M14" s="56" t="s">
        <v>28</v>
      </c>
      <c r="N14" s="68"/>
      <c r="O14" s="68"/>
    </row>
    <row r="15" spans="1:15" x14ac:dyDescent="0.35">
      <c r="A15" s="56" t="s">
        <v>10</v>
      </c>
      <c r="B15" s="60">
        <f>C15/191</f>
        <v>117.80104712041884</v>
      </c>
      <c r="C15" s="58">
        <v>22500</v>
      </c>
      <c r="D15" s="56" t="s">
        <v>23</v>
      </c>
      <c r="E15" s="56"/>
      <c r="F15" s="56"/>
      <c r="G15" s="56"/>
      <c r="H15" s="56"/>
      <c r="I15" s="56"/>
      <c r="J15" s="56"/>
      <c r="K15" s="97"/>
      <c r="L15" s="58" t="s">
        <v>29</v>
      </c>
      <c r="M15" s="58" t="s">
        <v>30</v>
      </c>
      <c r="N15" s="68"/>
      <c r="O15" s="68"/>
    </row>
    <row r="16" spans="1:15" x14ac:dyDescent="0.35">
      <c r="A16" s="56" t="s">
        <v>31</v>
      </c>
      <c r="B16" s="62">
        <f>(B15-B11)/B11</f>
        <v>0.28571428571428575</v>
      </c>
      <c r="C16" s="58"/>
      <c r="D16" s="56"/>
      <c r="E16" s="56"/>
      <c r="F16" s="56"/>
      <c r="G16" s="56"/>
      <c r="H16" s="56"/>
      <c r="I16" s="56"/>
      <c r="J16" s="56"/>
      <c r="K16" s="97" t="s">
        <v>32</v>
      </c>
      <c r="L16" s="75">
        <v>6.3</v>
      </c>
      <c r="M16" s="58">
        <v>0.35</v>
      </c>
      <c r="N16" s="68">
        <f>L16*M16</f>
        <v>2.2049999999999996</v>
      </c>
      <c r="O16" s="68">
        <f>N16</f>
        <v>2.2049999999999996</v>
      </c>
    </row>
    <row r="17" spans="1:17" x14ac:dyDescent="0.35">
      <c r="A17" s="56"/>
      <c r="B17" s="56"/>
      <c r="C17" s="58"/>
      <c r="D17" s="56"/>
      <c r="E17" s="56"/>
      <c r="F17" s="56"/>
      <c r="G17" s="56"/>
      <c r="H17" s="56"/>
      <c r="I17" s="56"/>
      <c r="J17" s="56"/>
      <c r="K17" s="97" t="s">
        <v>33</v>
      </c>
      <c r="L17" s="57"/>
      <c r="M17" s="57"/>
      <c r="N17" s="68">
        <v>0.08</v>
      </c>
      <c r="O17" s="68">
        <f>N17</f>
        <v>0.08</v>
      </c>
      <c r="Q17" s="2"/>
    </row>
    <row r="18" spans="1:17" x14ac:dyDescent="0.35">
      <c r="A18" s="56" t="s">
        <v>24</v>
      </c>
      <c r="B18" s="76">
        <f>B12*(1+B16)</f>
        <v>0.11015004960317461</v>
      </c>
      <c r="C18" s="58"/>
      <c r="D18" s="56"/>
      <c r="E18" s="56"/>
      <c r="F18" s="56"/>
      <c r="G18" s="56"/>
      <c r="H18" s="56"/>
      <c r="I18" s="56"/>
      <c r="J18" s="56"/>
      <c r="K18" s="80" t="s">
        <v>34</v>
      </c>
      <c r="L18" s="57"/>
      <c r="M18" s="57"/>
      <c r="N18" s="72">
        <f>SUM(N10:N17)</f>
        <v>2.9133613040123452</v>
      </c>
      <c r="O18" s="68">
        <f>SUM(O10:O17)</f>
        <v>3.0357502480158729</v>
      </c>
      <c r="Q18" s="2"/>
    </row>
    <row r="19" spans="1:17" x14ac:dyDescent="0.35">
      <c r="A19" s="56" t="s">
        <v>25</v>
      </c>
      <c r="B19" s="77">
        <v>5</v>
      </c>
      <c r="C19" s="58" t="s">
        <v>26</v>
      </c>
      <c r="D19" s="56"/>
      <c r="E19" s="56"/>
      <c r="F19" s="56"/>
      <c r="G19" s="56"/>
      <c r="H19" s="56"/>
      <c r="I19" s="56"/>
      <c r="J19" s="56"/>
      <c r="K19" s="80" t="s">
        <v>35</v>
      </c>
      <c r="L19" s="57"/>
      <c r="M19" s="78">
        <v>0.05</v>
      </c>
      <c r="N19" s="68">
        <f>(N18)*M19</f>
        <v>0.14566806520061726</v>
      </c>
      <c r="O19" s="68">
        <f>N19</f>
        <v>0.14566806520061726</v>
      </c>
      <c r="P19" t="s">
        <v>36</v>
      </c>
      <c r="Q19" s="2"/>
    </row>
    <row r="20" spans="1:17" x14ac:dyDescent="0.35">
      <c r="A20" s="56"/>
      <c r="B20" s="56"/>
      <c r="C20" s="58"/>
      <c r="D20" s="56"/>
      <c r="E20" s="56"/>
      <c r="F20" s="56"/>
      <c r="G20" s="56"/>
      <c r="H20" s="56"/>
      <c r="I20" s="56"/>
      <c r="J20" s="56"/>
      <c r="K20" s="80" t="s">
        <v>37</v>
      </c>
      <c r="L20" s="57"/>
      <c r="M20" s="57"/>
      <c r="N20" s="72">
        <f>SUM(N18:N19)</f>
        <v>3.0590293692129622</v>
      </c>
      <c r="O20" s="68">
        <f>O18+O19</f>
        <v>3.1814183132164899</v>
      </c>
      <c r="Q20" s="2"/>
    </row>
    <row r="21" spans="1:17" x14ac:dyDescent="0.35">
      <c r="A21" s="56"/>
      <c r="B21" s="56"/>
      <c r="C21" s="58"/>
      <c r="D21" s="56"/>
      <c r="E21" s="56"/>
      <c r="F21" s="56"/>
      <c r="G21" s="56"/>
      <c r="H21" s="56"/>
      <c r="I21" s="56"/>
      <c r="J21" s="56"/>
      <c r="K21" s="97" t="s">
        <v>38</v>
      </c>
      <c r="L21" s="56"/>
      <c r="M21" s="79">
        <v>0.11</v>
      </c>
      <c r="N21" s="68">
        <f>M21*N20</f>
        <v>0.33649323061342584</v>
      </c>
      <c r="O21" s="68">
        <f>N21</f>
        <v>0.33649323061342584</v>
      </c>
      <c r="P21" t="s">
        <v>36</v>
      </c>
      <c r="Q21" s="2"/>
    </row>
    <row r="22" spans="1:17" x14ac:dyDescent="0.35">
      <c r="A22" s="56"/>
      <c r="B22" s="56"/>
      <c r="C22" s="58"/>
      <c r="D22" s="56"/>
      <c r="E22" s="56"/>
      <c r="F22" s="56"/>
      <c r="G22" s="56"/>
      <c r="H22" s="56"/>
      <c r="I22" s="56"/>
      <c r="J22" s="56"/>
      <c r="K22" s="80" t="s">
        <v>39</v>
      </c>
      <c r="L22" s="64"/>
      <c r="M22" s="64"/>
      <c r="N22" s="72">
        <f>N20+N21</f>
        <v>3.3955225998263883</v>
      </c>
      <c r="O22" s="68">
        <f>O20+O21</f>
        <v>3.517911543829916</v>
      </c>
      <c r="Q22" s="2"/>
    </row>
    <row r="23" spans="1:17" x14ac:dyDescent="0.35">
      <c r="A23" s="56"/>
      <c r="B23" s="56"/>
      <c r="C23" s="58"/>
      <c r="D23" s="56"/>
      <c r="E23" s="56"/>
      <c r="F23" s="56"/>
      <c r="G23" s="56"/>
      <c r="H23" s="56"/>
      <c r="I23" s="56"/>
      <c r="J23" s="56"/>
      <c r="K23" s="97"/>
      <c r="L23" s="58"/>
      <c r="M23" s="58"/>
      <c r="N23" s="58"/>
      <c r="O23" s="58"/>
      <c r="Q23" s="2"/>
    </row>
    <row r="24" spans="1:17" x14ac:dyDescent="0.35">
      <c r="A24" s="56"/>
      <c r="B24" s="56"/>
      <c r="C24" s="58"/>
      <c r="D24" s="56"/>
      <c r="E24" s="56"/>
      <c r="F24" s="56"/>
      <c r="G24" s="56"/>
      <c r="H24" s="56"/>
      <c r="I24" s="56"/>
      <c r="J24" s="56"/>
      <c r="K24" s="97" t="s">
        <v>40</v>
      </c>
      <c r="L24" s="58"/>
      <c r="M24" s="58"/>
      <c r="N24" s="58"/>
      <c r="O24" s="81">
        <f>O22-N22</f>
        <v>0.12238894400352773</v>
      </c>
      <c r="Q24" s="2"/>
    </row>
    <row r="25" spans="1:17" x14ac:dyDescent="0.35">
      <c r="A25" s="56"/>
      <c r="B25" s="56"/>
      <c r="C25" s="58"/>
      <c r="D25" s="56"/>
      <c r="E25" s="56"/>
      <c r="F25" s="56"/>
      <c r="G25" s="56"/>
      <c r="H25" s="56"/>
      <c r="I25" s="56"/>
      <c r="J25" s="56"/>
      <c r="K25" s="97"/>
      <c r="L25" s="56"/>
      <c r="M25" s="56"/>
      <c r="N25" s="58"/>
      <c r="O25" s="58"/>
      <c r="P25" s="2"/>
      <c r="Q25" s="2"/>
    </row>
    <row r="26" spans="1:17" ht="29" x14ac:dyDescent="0.35">
      <c r="A26" s="56"/>
      <c r="B26" s="56"/>
      <c r="C26" s="58"/>
      <c r="D26" s="56"/>
      <c r="E26" s="56"/>
      <c r="F26" s="56"/>
      <c r="G26" s="56"/>
      <c r="H26" s="56"/>
      <c r="I26" s="56"/>
      <c r="J26" s="56"/>
      <c r="K26" s="97" t="s">
        <v>41</v>
      </c>
      <c r="L26" s="56"/>
      <c r="M26" s="56"/>
      <c r="N26" s="96" t="s">
        <v>59</v>
      </c>
      <c r="O26" s="58"/>
      <c r="Q26" s="2"/>
    </row>
    <row r="27" spans="1:17" x14ac:dyDescent="0.35">
      <c r="A27" s="56"/>
      <c r="B27" s="56"/>
      <c r="C27" s="58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8"/>
      <c r="O27" s="58"/>
      <c r="P27" s="3"/>
      <c r="Q27" s="2"/>
    </row>
    <row r="28" spans="1:17" x14ac:dyDescent="0.35">
      <c r="A28" s="56"/>
      <c r="B28" s="56"/>
      <c r="C28" s="58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8"/>
      <c r="O28" s="58"/>
      <c r="P28" s="3"/>
      <c r="Q28" s="2"/>
    </row>
    <row r="29" spans="1:17" x14ac:dyDescent="0.35">
      <c r="A29" s="56"/>
      <c r="B29" s="56"/>
      <c r="C29" s="58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8"/>
      <c r="O29" s="58"/>
      <c r="P29" s="3"/>
      <c r="Q29" s="2"/>
    </row>
    <row r="30" spans="1:17" x14ac:dyDescent="0.35">
      <c r="A30" s="56"/>
      <c r="B30" s="56"/>
      <c r="C30" s="58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8"/>
      <c r="O30" s="58"/>
      <c r="P30" s="3"/>
      <c r="Q30" s="2"/>
    </row>
    <row r="31" spans="1:17" x14ac:dyDescent="0.35">
      <c r="A31" s="56"/>
      <c r="B31" s="56"/>
      <c r="C31" s="58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8"/>
      <c r="O31" s="58"/>
      <c r="P31" s="2"/>
      <c r="Q31" s="2"/>
    </row>
    <row r="32" spans="1:17" x14ac:dyDescent="0.35">
      <c r="A32" s="56"/>
      <c r="B32" s="56"/>
      <c r="C32" s="58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8"/>
      <c r="O32" s="58"/>
      <c r="P32" s="2"/>
      <c r="Q32" s="2"/>
    </row>
    <row r="33" spans="1:16" x14ac:dyDescent="0.35">
      <c r="A33" s="56"/>
      <c r="B33" s="56"/>
      <c r="C33" s="58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8"/>
      <c r="O33" s="58"/>
    </row>
    <row r="34" spans="1:16" x14ac:dyDescent="0.35">
      <c r="A34" s="56"/>
      <c r="B34" s="56"/>
      <c r="C34" s="58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8"/>
      <c r="O34" s="58"/>
    </row>
    <row r="35" spans="1:16" x14ac:dyDescent="0.35">
      <c r="A35" s="56"/>
      <c r="B35" s="56"/>
      <c r="C35" s="58"/>
      <c r="D35" s="56"/>
      <c r="E35" s="56"/>
      <c r="F35" s="56"/>
      <c r="G35" s="56"/>
      <c r="H35" s="56"/>
      <c r="I35" s="56"/>
      <c r="J35" s="56"/>
      <c r="P35" s="3"/>
    </row>
    <row r="36" spans="1:16" x14ac:dyDescent="0.35">
      <c r="A36" s="56"/>
      <c r="B36" s="56"/>
      <c r="C36" s="58"/>
      <c r="D36" s="56"/>
      <c r="E36" s="56"/>
      <c r="F36" s="56"/>
      <c r="G36" s="56"/>
      <c r="H36" s="56"/>
      <c r="I36" s="56"/>
      <c r="J36" s="56"/>
      <c r="P36" s="3"/>
    </row>
    <row r="37" spans="1:16" x14ac:dyDescent="0.35">
      <c r="A37" s="56"/>
      <c r="B37" s="56"/>
      <c r="C37" s="58"/>
      <c r="D37" s="56"/>
      <c r="E37" s="56"/>
      <c r="F37" s="56"/>
      <c r="G37" s="56"/>
      <c r="H37" s="56"/>
      <c r="I37" s="56"/>
      <c r="J37" s="56"/>
      <c r="P37" s="3"/>
    </row>
    <row r="38" spans="1:16" x14ac:dyDescent="0.35">
      <c r="A38" s="56"/>
      <c r="B38" s="56"/>
      <c r="C38" s="58"/>
      <c r="D38" s="56"/>
      <c r="E38" s="56"/>
      <c r="F38" s="56"/>
      <c r="G38" s="56"/>
      <c r="H38" s="56"/>
      <c r="I38" s="56"/>
      <c r="J38" s="56"/>
      <c r="P38" s="3"/>
    </row>
    <row r="39" spans="1:16" x14ac:dyDescent="0.35">
      <c r="A39" s="56"/>
      <c r="B39" s="56"/>
      <c r="C39" s="58"/>
      <c r="D39" s="56"/>
      <c r="E39" s="56"/>
      <c r="F39" s="56"/>
      <c r="G39" s="56"/>
      <c r="H39" s="56"/>
      <c r="I39" s="56"/>
      <c r="J39" s="56"/>
      <c r="P39" s="3"/>
    </row>
    <row r="40" spans="1:16" x14ac:dyDescent="0.35">
      <c r="A40" s="56"/>
      <c r="B40" s="56"/>
      <c r="C40" s="58"/>
      <c r="D40" s="56"/>
      <c r="E40" s="56"/>
      <c r="F40" s="56"/>
      <c r="G40" s="56"/>
      <c r="H40" s="56"/>
      <c r="I40" s="56"/>
      <c r="J40" s="56"/>
    </row>
    <row r="43" spans="1:16" ht="15.5" x14ac:dyDescent="0.35">
      <c r="N43" s="55"/>
    </row>
    <row r="44" spans="1:16" x14ac:dyDescent="0.35">
      <c r="A44" s="18"/>
      <c r="B44" s="18"/>
      <c r="D44" s="18"/>
      <c r="E44" s="18"/>
      <c r="F44" s="18"/>
      <c r="G44" s="18"/>
      <c r="H44" s="18"/>
      <c r="I44" s="18"/>
      <c r="J44" s="18"/>
    </row>
    <row r="52" spans="11:15" x14ac:dyDescent="0.35">
      <c r="K52" s="26"/>
      <c r="L52" s="26"/>
      <c r="M52" s="26"/>
      <c r="N52" s="1"/>
      <c r="O52" s="11"/>
    </row>
    <row r="53" spans="11:15" x14ac:dyDescent="0.35">
      <c r="K53" s="26"/>
      <c r="L53" s="26"/>
      <c r="M53" s="26"/>
      <c r="N53" s="1"/>
      <c r="O53" s="11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1"/>
  <sheetViews>
    <sheetView zoomScale="77" zoomScaleNormal="77" workbookViewId="0">
      <selection activeCell="P25" sqref="K5:P25"/>
    </sheetView>
  </sheetViews>
  <sheetFormatPr defaultRowHeight="14.5" x14ac:dyDescent="0.35"/>
  <cols>
    <col min="1" max="1" width="30.1796875" customWidth="1"/>
    <col min="2" max="2" width="15.7265625" customWidth="1"/>
    <col min="6" max="6" width="10.81640625" bestFit="1" customWidth="1"/>
    <col min="7" max="7" width="16.7265625" bestFit="1" customWidth="1"/>
    <col min="11" max="11" width="22.26953125" customWidth="1"/>
    <col min="13" max="13" width="11.90625" bestFit="1" customWidth="1"/>
    <col min="14" max="14" width="25" style="2" bestFit="1" customWidth="1"/>
    <col min="15" max="15" width="11" style="2" customWidth="1"/>
  </cols>
  <sheetData>
    <row r="1" spans="1:15" x14ac:dyDescent="0.35">
      <c r="A1" s="19" t="s">
        <v>0</v>
      </c>
      <c r="B1" s="19" t="s">
        <v>1</v>
      </c>
    </row>
    <row r="2" spans="1:15" x14ac:dyDescent="0.35">
      <c r="A2" s="19" t="s">
        <v>2</v>
      </c>
      <c r="B2" s="2" t="s">
        <v>3</v>
      </c>
      <c r="N2" s="3"/>
    </row>
    <row r="3" spans="1:15" x14ac:dyDescent="0.35">
      <c r="A3" t="s">
        <v>4</v>
      </c>
      <c r="B3" s="29">
        <v>340000</v>
      </c>
      <c r="D3" t="s">
        <v>5</v>
      </c>
    </row>
    <row r="4" spans="1:15" ht="15.75" customHeight="1" thickBot="1" x14ac:dyDescent="0.4">
      <c r="A4" t="s">
        <v>6</v>
      </c>
      <c r="B4" s="29">
        <v>200000</v>
      </c>
      <c r="N4" s="3"/>
      <c r="O4" s="41"/>
    </row>
    <row r="5" spans="1:15" ht="15" thickBot="1" x14ac:dyDescent="0.4">
      <c r="A5" t="s">
        <v>7</v>
      </c>
      <c r="B5" s="29">
        <f>(B3+B4)*0.7</f>
        <v>378000</v>
      </c>
      <c r="C5" s="27">
        <f>B5/(B3+B4)</f>
        <v>0.7</v>
      </c>
      <c r="K5" s="1" t="s">
        <v>8</v>
      </c>
      <c r="N5" s="4" t="s">
        <v>9</v>
      </c>
      <c r="O5" s="42" t="s">
        <v>10</v>
      </c>
    </row>
    <row r="6" spans="1:15" ht="15" thickBot="1" x14ac:dyDescent="0.4">
      <c r="A6" t="s">
        <v>11</v>
      </c>
      <c r="B6" s="29">
        <f>(B3+B4+B5)*0.1</f>
        <v>91800</v>
      </c>
      <c r="C6" s="27"/>
      <c r="N6" s="24"/>
      <c r="O6" s="41"/>
    </row>
    <row r="7" spans="1:15" ht="15" thickBot="1" x14ac:dyDescent="0.4">
      <c r="A7" s="28" t="s">
        <v>12</v>
      </c>
      <c r="B7" s="31">
        <f>SUM(B3:B6)</f>
        <v>1009800</v>
      </c>
      <c r="L7" s="5" t="s">
        <v>13</v>
      </c>
      <c r="M7" s="6" t="s">
        <v>14</v>
      </c>
      <c r="N7" s="32" t="s">
        <v>15</v>
      </c>
      <c r="O7" s="33"/>
    </row>
    <row r="8" spans="1:15" x14ac:dyDescent="0.35">
      <c r="K8" s="7" t="s">
        <v>16</v>
      </c>
      <c r="L8" s="8"/>
      <c r="M8" s="9"/>
      <c r="N8" s="46">
        <f>B19*B12</f>
        <v>0.38958333333333334</v>
      </c>
      <c r="O8" s="34">
        <f>B19*B18</f>
        <v>0.91273809523809546</v>
      </c>
    </row>
    <row r="9" spans="1:15" ht="15" thickBot="1" x14ac:dyDescent="0.4">
      <c r="A9" t="s">
        <v>17</v>
      </c>
      <c r="B9">
        <v>200</v>
      </c>
      <c r="F9" s="98">
        <f>B3/B9</f>
        <v>1700</v>
      </c>
      <c r="K9" s="7" t="s">
        <v>18</v>
      </c>
      <c r="L9" s="10"/>
      <c r="M9" s="10"/>
      <c r="N9" s="35">
        <v>0.2</v>
      </c>
      <c r="O9" s="35">
        <v>0.2</v>
      </c>
    </row>
    <row r="10" spans="1:15" ht="15" thickBot="1" x14ac:dyDescent="0.4">
      <c r="A10" t="s">
        <v>19</v>
      </c>
      <c r="B10">
        <f>B9*45*60*0.8*48</f>
        <v>20736000</v>
      </c>
      <c r="C10" t="s">
        <v>20</v>
      </c>
      <c r="K10" s="13" t="s">
        <v>21</v>
      </c>
      <c r="L10" s="14"/>
      <c r="M10" s="15"/>
      <c r="N10" s="36">
        <f>SUM(N8:N9)</f>
        <v>0.58958333333333335</v>
      </c>
      <c r="O10" s="36">
        <f>SUM(O8:O9)</f>
        <v>1.1127380952380954</v>
      </c>
    </row>
    <row r="11" spans="1:15" x14ac:dyDescent="0.35">
      <c r="A11" t="s">
        <v>22</v>
      </c>
      <c r="B11" s="29">
        <f>C11/191</f>
        <v>91.623036649214654</v>
      </c>
      <c r="C11">
        <v>17500</v>
      </c>
      <c r="D11" t="s">
        <v>23</v>
      </c>
    </row>
    <row r="12" spans="1:15" x14ac:dyDescent="0.35">
      <c r="A12" t="s">
        <v>24</v>
      </c>
      <c r="B12" s="48">
        <f>B7/B10</f>
        <v>4.8697916666666667E-2</v>
      </c>
      <c r="L12" t="s">
        <v>27</v>
      </c>
      <c r="M12" t="s">
        <v>28</v>
      </c>
      <c r="N12" s="33"/>
      <c r="O12" s="33"/>
    </row>
    <row r="13" spans="1:15" x14ac:dyDescent="0.35">
      <c r="A13" t="s">
        <v>25</v>
      </c>
      <c r="B13" s="44">
        <v>8</v>
      </c>
      <c r="C13" t="s">
        <v>26</v>
      </c>
      <c r="L13" s="2" t="s">
        <v>29</v>
      </c>
      <c r="M13" s="2" t="s">
        <v>30</v>
      </c>
      <c r="N13" s="33"/>
      <c r="O13" s="33"/>
    </row>
    <row r="14" spans="1:15" x14ac:dyDescent="0.35">
      <c r="K14" s="7" t="s">
        <v>32</v>
      </c>
      <c r="L14" s="12">
        <v>6.3</v>
      </c>
      <c r="M14" s="10">
        <v>0.35</v>
      </c>
      <c r="N14" s="35">
        <f>L14*M14</f>
        <v>2.2049999999999996</v>
      </c>
      <c r="O14" s="35">
        <f>N14</f>
        <v>2.2049999999999996</v>
      </c>
    </row>
    <row r="15" spans="1:15" ht="15" thickBot="1" x14ac:dyDescent="0.4">
      <c r="A15" t="s">
        <v>10</v>
      </c>
      <c r="B15" s="29">
        <f>C15/191</f>
        <v>214.65968586387436</v>
      </c>
      <c r="C15" s="50">
        <v>41000</v>
      </c>
      <c r="D15" t="s">
        <v>23</v>
      </c>
      <c r="K15" s="7" t="s">
        <v>33</v>
      </c>
      <c r="L15" s="20"/>
      <c r="M15" s="20"/>
      <c r="N15" s="35">
        <v>0.08</v>
      </c>
      <c r="O15" s="35">
        <f>N15</f>
        <v>0.08</v>
      </c>
    </row>
    <row r="16" spans="1:15" ht="15" thickBot="1" x14ac:dyDescent="0.4">
      <c r="A16" t="s">
        <v>31</v>
      </c>
      <c r="B16" s="27">
        <f>(B15-B11)/B11</f>
        <v>1.3428571428571432</v>
      </c>
      <c r="K16" s="13" t="s">
        <v>34</v>
      </c>
      <c r="L16" s="16"/>
      <c r="M16" s="17"/>
      <c r="N16" s="38">
        <f>SUM(N10:N15)</f>
        <v>2.8745833333333328</v>
      </c>
      <c r="O16" s="40">
        <f>SUM(O10:O15)</f>
        <v>3.3977380952380951</v>
      </c>
    </row>
    <row r="17" spans="1:17" ht="15" thickBot="1" x14ac:dyDescent="0.4">
      <c r="K17" s="20" t="s">
        <v>35</v>
      </c>
      <c r="L17" s="20"/>
      <c r="M17" s="21">
        <v>0.05</v>
      </c>
      <c r="N17" s="35">
        <f>(N16)*M17</f>
        <v>0.14372916666666666</v>
      </c>
      <c r="O17" s="35">
        <f>N17</f>
        <v>0.14372916666666666</v>
      </c>
      <c r="P17" t="s">
        <v>36</v>
      </c>
      <c r="Q17" s="2"/>
    </row>
    <row r="18" spans="1:17" ht="15" thickBot="1" x14ac:dyDescent="0.4">
      <c r="A18" t="s">
        <v>24</v>
      </c>
      <c r="B18" s="47">
        <f>B12*(1+B16)</f>
        <v>0.11409226190476193</v>
      </c>
      <c r="K18" s="13" t="s">
        <v>37</v>
      </c>
      <c r="L18" s="16"/>
      <c r="M18" s="16"/>
      <c r="N18" s="39">
        <f>SUM(N16:N17)</f>
        <v>3.0183124999999995</v>
      </c>
      <c r="O18" s="40">
        <f>O16+O17</f>
        <v>3.5414672619047618</v>
      </c>
      <c r="Q18" s="2"/>
    </row>
    <row r="19" spans="1:17" ht="15" thickBot="1" x14ac:dyDescent="0.4">
      <c r="A19" t="s">
        <v>25</v>
      </c>
      <c r="B19" s="45">
        <v>8</v>
      </c>
      <c r="C19" t="s">
        <v>26</v>
      </c>
      <c r="K19" s="7" t="s">
        <v>38</v>
      </c>
      <c r="L19" s="7"/>
      <c r="M19" s="22">
        <v>0.11</v>
      </c>
      <c r="N19" s="35">
        <f>M19*N18</f>
        <v>0.33201437499999997</v>
      </c>
      <c r="O19" s="37">
        <f>N19</f>
        <v>0.33201437499999997</v>
      </c>
      <c r="P19" t="s">
        <v>36</v>
      </c>
      <c r="Q19" s="2"/>
    </row>
    <row r="20" spans="1:17" ht="15" thickBot="1" x14ac:dyDescent="0.4">
      <c r="K20" s="23" t="s">
        <v>39</v>
      </c>
      <c r="L20" s="24"/>
      <c r="M20" s="25"/>
      <c r="N20" s="39">
        <f>N18+N19</f>
        <v>3.3503268749999995</v>
      </c>
      <c r="O20" s="40">
        <f>O18+O19</f>
        <v>3.8734816369047618</v>
      </c>
      <c r="P20" s="3"/>
      <c r="Q20" s="2"/>
    </row>
    <row r="21" spans="1:17" x14ac:dyDescent="0.35">
      <c r="K21" s="2"/>
      <c r="L21" s="2"/>
      <c r="M21" s="2"/>
      <c r="P21" s="3"/>
      <c r="Q21" s="2"/>
    </row>
    <row r="22" spans="1:17" x14ac:dyDescent="0.35">
      <c r="K22" s="2" t="s">
        <v>40</v>
      </c>
      <c r="L22" s="2"/>
      <c r="M22" s="2"/>
      <c r="O22" s="49">
        <f>O20-N20</f>
        <v>0.52315476190476229</v>
      </c>
      <c r="P22" s="3"/>
      <c r="Q22" s="2"/>
    </row>
    <row r="23" spans="1:17" x14ac:dyDescent="0.35">
      <c r="P23" s="2"/>
      <c r="Q23" s="2"/>
    </row>
    <row r="24" spans="1:17" x14ac:dyDescent="0.35">
      <c r="P24" s="2"/>
      <c r="Q24" s="2"/>
    </row>
    <row r="25" spans="1:17" x14ac:dyDescent="0.35">
      <c r="K25" t="s">
        <v>41</v>
      </c>
      <c r="N25" s="2" t="s">
        <v>58</v>
      </c>
      <c r="Q25" s="2"/>
    </row>
    <row r="26" spans="1:17" x14ac:dyDescent="0.35">
      <c r="Q26" s="2"/>
    </row>
    <row r="27" spans="1:17" x14ac:dyDescent="0.35">
      <c r="P27" s="3"/>
      <c r="Q27" s="2"/>
    </row>
    <row r="28" spans="1:17" x14ac:dyDescent="0.35">
      <c r="P28" s="3"/>
      <c r="Q28" s="2"/>
    </row>
    <row r="29" spans="1:17" x14ac:dyDescent="0.35">
      <c r="P29" s="3"/>
      <c r="Q29" s="2"/>
    </row>
    <row r="30" spans="1:17" x14ac:dyDescent="0.35">
      <c r="P30" s="3"/>
      <c r="Q30" s="2"/>
    </row>
    <row r="31" spans="1:17" x14ac:dyDescent="0.35">
      <c r="P31" s="3"/>
      <c r="Q31" s="2"/>
    </row>
    <row r="32" spans="1:17" x14ac:dyDescent="0.35">
      <c r="Q32" s="2"/>
    </row>
    <row r="44" spans="1:10" x14ac:dyDescent="0.35">
      <c r="A44" s="18"/>
      <c r="B44" s="18"/>
      <c r="C44" s="18"/>
      <c r="D44" s="18"/>
      <c r="E44" s="18"/>
      <c r="F44" s="18"/>
      <c r="G44" s="18"/>
      <c r="H44" s="18"/>
      <c r="I44" s="18"/>
      <c r="J44" s="18"/>
    </row>
    <row r="50" spans="11:15" x14ac:dyDescent="0.35">
      <c r="K50" s="26"/>
      <c r="L50" s="26"/>
      <c r="M50" s="26"/>
      <c r="N50" s="1"/>
      <c r="O50" s="11"/>
    </row>
    <row r="51" spans="11:15" x14ac:dyDescent="0.35">
      <c r="K51" s="26"/>
      <c r="L51" s="26"/>
      <c r="M51" s="26"/>
      <c r="N51" s="1"/>
      <c r="O51" s="11"/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"/>
  <sheetViews>
    <sheetView tabSelected="1" zoomScale="66" zoomScaleNormal="66" workbookViewId="0">
      <selection activeCell="E20" sqref="A1:E20"/>
    </sheetView>
  </sheetViews>
  <sheetFormatPr defaultRowHeight="14.5" x14ac:dyDescent="0.35"/>
  <cols>
    <col min="1" max="1" width="26.90625" style="83" customWidth="1"/>
    <col min="2" max="2" width="15.7265625" style="91" customWidth="1"/>
    <col min="3" max="3" width="14.7265625" style="2" bestFit="1" customWidth="1"/>
    <col min="5" max="5" width="24.54296875" customWidth="1"/>
    <col min="6" max="6" width="13" customWidth="1"/>
    <col min="7" max="7" width="35.54296875" bestFit="1" customWidth="1"/>
  </cols>
  <sheetData>
    <row r="1" spans="1:6" x14ac:dyDescent="0.35">
      <c r="A1" s="82" t="s">
        <v>0</v>
      </c>
      <c r="B1" s="87" t="s">
        <v>1</v>
      </c>
    </row>
    <row r="2" spans="1:6" ht="29" x14ac:dyDescent="0.35">
      <c r="A2" s="83" t="s">
        <v>42</v>
      </c>
      <c r="B2" s="88">
        <v>940000</v>
      </c>
      <c r="C2" s="2" t="s">
        <v>43</v>
      </c>
    </row>
    <row r="3" spans="1:6" ht="15.75" customHeight="1" x14ac:dyDescent="0.35">
      <c r="A3" s="83" t="s">
        <v>44</v>
      </c>
      <c r="B3" s="88">
        <v>190000</v>
      </c>
      <c r="C3" s="2" t="s">
        <v>43</v>
      </c>
    </row>
    <row r="4" spans="1:6" x14ac:dyDescent="0.35">
      <c r="A4" s="83" t="s">
        <v>45</v>
      </c>
      <c r="B4" s="89">
        <f>B3/B2</f>
        <v>0.20212765957446807</v>
      </c>
      <c r="C4" s="86"/>
    </row>
    <row r="5" spans="1:6" x14ac:dyDescent="0.35">
      <c r="B5" s="90"/>
      <c r="C5" s="86"/>
    </row>
    <row r="6" spans="1:6" x14ac:dyDescent="0.35">
      <c r="A6" s="83" t="s">
        <v>17</v>
      </c>
      <c r="B6" s="91">
        <v>200</v>
      </c>
    </row>
    <row r="7" spans="1:6" x14ac:dyDescent="0.35">
      <c r="A7" s="83" t="s">
        <v>22</v>
      </c>
      <c r="B7" s="90">
        <f>C7/191</f>
        <v>91.623036649214654</v>
      </c>
      <c r="C7" s="2">
        <v>17500</v>
      </c>
      <c r="D7" t="s">
        <v>23</v>
      </c>
    </row>
    <row r="8" spans="1:6" x14ac:dyDescent="0.35">
      <c r="A8" s="83" t="s">
        <v>46</v>
      </c>
      <c r="B8" s="90">
        <f>B7*B6*12</f>
        <v>219895.28795811516</v>
      </c>
      <c r="C8" s="2" t="s">
        <v>47</v>
      </c>
    </row>
    <row r="9" spans="1:6" x14ac:dyDescent="0.35">
      <c r="B9" s="90"/>
    </row>
    <row r="10" spans="1:6" x14ac:dyDescent="0.35">
      <c r="A10" s="83" t="s">
        <v>10</v>
      </c>
      <c r="B10" s="90">
        <f>C10/191</f>
        <v>117.80104712041884</v>
      </c>
      <c r="C10" s="94">
        <v>22500</v>
      </c>
      <c r="D10" t="s">
        <v>23</v>
      </c>
    </row>
    <row r="11" spans="1:6" x14ac:dyDescent="0.35">
      <c r="A11" s="83" t="s">
        <v>31</v>
      </c>
      <c r="B11" s="89">
        <f>(B10-B7)/B7</f>
        <v>0.28571428571428575</v>
      </c>
    </row>
    <row r="12" spans="1:6" x14ac:dyDescent="0.35">
      <c r="B12" s="90"/>
    </row>
    <row r="13" spans="1:6" x14ac:dyDescent="0.35">
      <c r="A13" s="83" t="s">
        <v>48</v>
      </c>
      <c r="B13" s="90">
        <f>B10-B7</f>
        <v>26.178010471204189</v>
      </c>
      <c r="C13" s="2" t="s">
        <v>49</v>
      </c>
    </row>
    <row r="14" spans="1:6" x14ac:dyDescent="0.35">
      <c r="A14" s="83" t="s">
        <v>50</v>
      </c>
      <c r="B14" s="92">
        <v>345</v>
      </c>
    </row>
    <row r="15" spans="1:6" ht="29" x14ac:dyDescent="0.35">
      <c r="A15" s="83" t="s">
        <v>51</v>
      </c>
      <c r="B15" s="90">
        <f>B14*B13*12</f>
        <v>108376.96335078534</v>
      </c>
      <c r="D15" s="53">
        <f>B15/B2</f>
        <v>0.1152946418625376</v>
      </c>
      <c r="E15" s="83" t="s">
        <v>55</v>
      </c>
      <c r="F15" s="83"/>
    </row>
    <row r="16" spans="1:6" ht="29" x14ac:dyDescent="0.35">
      <c r="D16" s="54">
        <f>B15/B3</f>
        <v>0.57040507026729126</v>
      </c>
      <c r="E16" s="83" t="s">
        <v>54</v>
      </c>
    </row>
    <row r="17" spans="1:4" x14ac:dyDescent="0.35">
      <c r="D17" s="30"/>
    </row>
    <row r="18" spans="1:4" ht="29" x14ac:dyDescent="0.35">
      <c r="A18" s="83" t="s">
        <v>52</v>
      </c>
      <c r="B18" s="90">
        <f>B15/B14/12</f>
        <v>26.178010471204189</v>
      </c>
      <c r="C18" s="85" t="s">
        <v>53</v>
      </c>
    </row>
    <row r="20" spans="1:4" ht="29" x14ac:dyDescent="0.35">
      <c r="A20" s="83" t="s">
        <v>56</v>
      </c>
    </row>
    <row r="22" spans="1:4" x14ac:dyDescent="0.35">
      <c r="B22" s="93"/>
    </row>
    <row r="23" spans="1:4" x14ac:dyDescent="0.35">
      <c r="B23" s="93"/>
    </row>
    <row r="37" spans="4:5" x14ac:dyDescent="0.35">
      <c r="D37" s="18"/>
      <c r="E37" s="18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8"/>
  <sheetViews>
    <sheetView zoomScale="70" zoomScaleNormal="70" workbookViewId="0">
      <selection activeCell="E18" sqref="A1:E18"/>
    </sheetView>
  </sheetViews>
  <sheetFormatPr defaultRowHeight="14.5" x14ac:dyDescent="0.35"/>
  <cols>
    <col min="1" max="1" width="36.1796875" customWidth="1"/>
    <col min="2" max="2" width="15.7265625" customWidth="1"/>
    <col min="3" max="3" width="15" style="2" bestFit="1" customWidth="1"/>
    <col min="5" max="5" width="20.90625" customWidth="1"/>
    <col min="6" max="6" width="13" customWidth="1"/>
    <col min="7" max="7" width="35.54296875" bestFit="1" customWidth="1"/>
  </cols>
  <sheetData>
    <row r="1" spans="1:5" x14ac:dyDescent="0.35">
      <c r="A1" s="19" t="s">
        <v>0</v>
      </c>
      <c r="B1" s="19" t="s">
        <v>1</v>
      </c>
    </row>
    <row r="2" spans="1:5" x14ac:dyDescent="0.35">
      <c r="A2" t="s">
        <v>42</v>
      </c>
      <c r="B2" s="51">
        <v>940000</v>
      </c>
      <c r="C2" s="2" t="s">
        <v>43</v>
      </c>
    </row>
    <row r="3" spans="1:5" ht="15.75" customHeight="1" x14ac:dyDescent="0.35">
      <c r="A3" t="s">
        <v>44</v>
      </c>
      <c r="B3" s="51">
        <v>190000</v>
      </c>
      <c r="C3" s="2" t="s">
        <v>43</v>
      </c>
    </row>
    <row r="4" spans="1:5" x14ac:dyDescent="0.35">
      <c r="A4" t="s">
        <v>45</v>
      </c>
      <c r="B4" s="27">
        <f>B3/B2</f>
        <v>0.20212765957446807</v>
      </c>
      <c r="C4" s="86"/>
    </row>
    <row r="5" spans="1:5" x14ac:dyDescent="0.35">
      <c r="B5" s="29"/>
      <c r="C5" s="86"/>
    </row>
    <row r="6" spans="1:5" x14ac:dyDescent="0.35">
      <c r="A6" t="s">
        <v>17</v>
      </c>
      <c r="B6">
        <v>200</v>
      </c>
    </row>
    <row r="7" spans="1:5" x14ac:dyDescent="0.35">
      <c r="A7" t="s">
        <v>19</v>
      </c>
      <c r="B7">
        <f>B6*48*60*0.8*48</f>
        <v>22118400</v>
      </c>
      <c r="C7" s="2" t="s">
        <v>20</v>
      </c>
    </row>
    <row r="8" spans="1:5" x14ac:dyDescent="0.35">
      <c r="A8" t="s">
        <v>22</v>
      </c>
      <c r="B8" s="29">
        <f>C8/191</f>
        <v>91.623036649214654</v>
      </c>
      <c r="C8" s="2">
        <v>17500</v>
      </c>
      <c r="D8" t="s">
        <v>23</v>
      </c>
    </row>
    <row r="9" spans="1:5" x14ac:dyDescent="0.35">
      <c r="A9" t="s">
        <v>46</v>
      </c>
      <c r="B9" s="29">
        <f>B8*B6*12</f>
        <v>219895.28795811516</v>
      </c>
      <c r="C9" s="2" t="s">
        <v>47</v>
      </c>
    </row>
    <row r="10" spans="1:5" x14ac:dyDescent="0.35">
      <c r="B10" s="29"/>
    </row>
    <row r="11" spans="1:5" x14ac:dyDescent="0.35">
      <c r="A11" t="s">
        <v>10</v>
      </c>
      <c r="B11" s="29">
        <f>C11/191</f>
        <v>214.65968586387436</v>
      </c>
      <c r="C11" s="94">
        <v>41000</v>
      </c>
      <c r="D11" t="s">
        <v>23</v>
      </c>
    </row>
    <row r="12" spans="1:5" x14ac:dyDescent="0.35">
      <c r="A12" t="s">
        <v>31</v>
      </c>
      <c r="B12" s="27">
        <f>(B11-B8)/B8</f>
        <v>1.3428571428571432</v>
      </c>
    </row>
    <row r="13" spans="1:5" x14ac:dyDescent="0.35">
      <c r="B13" s="29"/>
    </row>
    <row r="14" spans="1:5" x14ac:dyDescent="0.35">
      <c r="A14" t="s">
        <v>48</v>
      </c>
      <c r="B14" s="29">
        <f>B11-B8</f>
        <v>123.0366492146597</v>
      </c>
      <c r="C14" s="2" t="s">
        <v>49</v>
      </c>
    </row>
    <row r="15" spans="1:5" x14ac:dyDescent="0.35">
      <c r="A15" t="s">
        <v>50</v>
      </c>
      <c r="B15" s="52">
        <v>345</v>
      </c>
    </row>
    <row r="16" spans="1:5" ht="43.5" x14ac:dyDescent="0.35">
      <c r="A16" t="s">
        <v>51</v>
      </c>
      <c r="B16" s="29">
        <f>B15*B14*12</f>
        <v>509371.72774869116</v>
      </c>
      <c r="D16" s="53">
        <f>B16/B2</f>
        <v>0.54188481675392675</v>
      </c>
      <c r="E16" s="83" t="s">
        <v>55</v>
      </c>
    </row>
    <row r="17" spans="1:5" ht="43.5" x14ac:dyDescent="0.35">
      <c r="D17" s="54">
        <f>B16/B3</f>
        <v>2.6809038302562693</v>
      </c>
      <c r="E17" s="83" t="s">
        <v>54</v>
      </c>
    </row>
    <row r="18" spans="1:5" ht="29" x14ac:dyDescent="0.35">
      <c r="A18" s="84" t="s">
        <v>56</v>
      </c>
    </row>
    <row r="38" spans="1:5" x14ac:dyDescent="0.35">
      <c r="A38" s="18"/>
      <c r="B38" s="18"/>
      <c r="D38" s="18"/>
      <c r="E38" s="18"/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049B61DCA13E743BABEE7DA504B9F63" ma:contentTypeVersion="8" ma:contentTypeDescription="Create a new document." ma:contentTypeScope="" ma:versionID="dac08b53e648da4830de293124402908">
  <xsd:schema xmlns:xsd="http://www.w3.org/2001/XMLSchema" xmlns:xs="http://www.w3.org/2001/XMLSchema" xmlns:p="http://schemas.microsoft.com/office/2006/metadata/properties" xmlns:ns2="4d66417f-aff4-41b0-875b-0fc48ba55d96" xmlns:ns3="c1d88369-08cf-4f69-a48a-674db9c9e8e0" targetNamespace="http://schemas.microsoft.com/office/2006/metadata/properties" ma:root="true" ma:fieldsID="c966b9c295f990ca4021475331da51cc" ns2:_="" ns3:_="">
    <xsd:import namespace="4d66417f-aff4-41b0-875b-0fc48ba55d96"/>
    <xsd:import namespace="c1d88369-08cf-4f69-a48a-674db9c9e8e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d66417f-aff4-41b0-875b-0fc48ba55d9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d88369-08cf-4f69-a48a-674db9c9e8e0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93DD33E4-3971-4E35-A499-B6934B210E4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d66417f-aff4-41b0-875b-0fc48ba55d96"/>
    <ds:schemaRef ds:uri="c1d88369-08cf-4f69-a48a-674db9c9e8e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59DE9C6-B50D-4F08-827A-49E914F76E9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7C0A402-49CB-49D5-8B7D-E45187284044}">
  <ds:schemaRefs>
    <ds:schemaRef ds:uri="http://schemas.microsoft.com/office/infopath/2007/PartnerControls"/>
    <ds:schemaRef ds:uri="http://schemas.microsoft.com/office/2006/documentManagement/types"/>
    <ds:schemaRef ds:uri="http://schemas.microsoft.com/office/2006/metadata/properties"/>
    <ds:schemaRef ds:uri="4d66417f-aff4-41b0-875b-0fc48ba55d96"/>
    <ds:schemaRef ds:uri="http://purl.org/dc/terms/"/>
    <ds:schemaRef ds:uri="http://schemas.openxmlformats.org/package/2006/metadata/core-properties"/>
    <ds:schemaRef ds:uri="http://purl.org/dc/dcmitype/"/>
    <ds:schemaRef ds:uri="c1d88369-08cf-4f69-a48a-674db9c9e8e0"/>
    <ds:schemaRef ds:uri="http://www.w3.org/XML/1998/namespace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4</vt:i4>
      </vt:variant>
    </vt:vector>
  </HeadingPairs>
  <TitlesOfParts>
    <vt:vector size="4" baseType="lpstr">
      <vt:lpstr>Pakistan 1</vt:lpstr>
      <vt:lpstr>Pakistan 1 benchmark</vt:lpstr>
      <vt:lpstr>Pakistan 2</vt:lpstr>
      <vt:lpstr>Pakistan 2 benchmark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Jaap Rijnsdorp</dc:creator>
  <cp:keywords/>
  <dc:description/>
  <cp:lastModifiedBy>Dorp, Christine van</cp:lastModifiedBy>
  <cp:revision/>
  <dcterms:created xsi:type="dcterms:W3CDTF">2020-11-12T12:43:24Z</dcterms:created>
  <dcterms:modified xsi:type="dcterms:W3CDTF">2022-01-13T14:50:23Z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0x0101004049B61DCA13E743BABEE7DA504B9F63</vt:lpwstr>
  </property>
</Properties>
</file>